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ssumptions" sheetId="1" state="visible" r:id="rId1"/>
    <sheet name="Sources &amp; Uses" sheetId="2" state="visible" r:id="rId2"/>
    <sheet name="Operating Model" sheetId="3" state="visible" r:id="rId3"/>
    <sheet name="Debt Schedule" sheetId="4" state="visible" r:id="rId4"/>
    <sheet name="Returns" sheetId="5" state="visible" r:id="rId5"/>
    <sheet name="Sensitivity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#,##0.0"/>
    <numFmt numFmtId="165" formatCode="0.0&quot;x&quot;"/>
    <numFmt numFmtId="166" formatCode="0.0%"/>
    <numFmt numFmtId="167" formatCode="0.0"/>
    <numFmt numFmtId="168" formatCode="#,##0.0;(#,##0.0);&quot;-&quot;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3"/>
    </font>
    <font>
      <name val="Arial"/>
      <b val="1"/>
      <color rgb="00FFFFFF"/>
      <sz val="10"/>
    </font>
    <font>
      <name val="Arial"/>
      <b val="1"/>
      <color rgb="00FFFFFF"/>
      <sz val="9"/>
    </font>
    <font>
      <name val="Arial"/>
      <color rgb="00000000"/>
      <sz val="8"/>
    </font>
    <font>
      <name val="Arial"/>
      <color rgb="000000FF"/>
      <sz val="8"/>
    </font>
    <font>
      <name val="Arial"/>
      <i val="1"/>
      <color rgb="00888888"/>
      <sz val="7"/>
    </font>
    <font>
      <name val="Arial"/>
      <b val="1"/>
      <color rgb="00000000"/>
      <sz val="8"/>
    </font>
    <font>
      <name val="Arial"/>
      <b val="1"/>
      <color rgb="001B2A4A"/>
      <sz val="8"/>
    </font>
    <font>
      <name val="Arial"/>
      <color rgb="00008000"/>
      <sz val="8"/>
    </font>
    <font>
      <name val="Arial"/>
      <b val="1"/>
      <color rgb="00008000"/>
      <sz val="8"/>
    </font>
  </fonts>
  <fills count="6">
    <fill>
      <patternFill/>
    </fill>
    <fill>
      <patternFill patternType="gray125"/>
    </fill>
    <fill>
      <patternFill patternType="solid">
        <fgColor rgb="001B2A4A"/>
      </patternFill>
    </fill>
    <fill>
      <patternFill patternType="solid">
        <fgColor rgb="002D4A7A"/>
      </patternFill>
    </fill>
    <fill>
      <patternFill patternType="solid">
        <fgColor rgb="00FFFFCC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top style="medium">
        <color rgb="001B2A4A"/>
      </top>
      <bottom style="double">
        <color rgb="001B2A4A"/>
      </bottom>
    </border>
    <border>
      <bottom style="medium">
        <color rgb="001B2A4A"/>
      </bottom>
    </border>
  </borders>
  <cellStyleXfs count="1">
    <xf numFmtId="0" fontId="0" fillId="0" borderId="0"/>
  </cellStyleXfs>
  <cellXfs count="41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left" vertical="center"/>
    </xf>
    <xf numFmtId="0" fontId="0" fillId="3" borderId="0" pivotButton="0" quotePrefix="0" xfId="0"/>
    <xf numFmtId="0" fontId="4" fillId="0" borderId="0" applyAlignment="1" pivotButton="0" quotePrefix="0" xfId="0">
      <alignment horizontal="left"/>
    </xf>
    <xf numFmtId="0" fontId="5" fillId="4" borderId="0" applyAlignment="1" pivotButton="0" quotePrefix="0" xfId="0">
      <alignment horizontal="left"/>
    </xf>
    <xf numFmtId="0" fontId="6" fillId="0" borderId="0" pivotButton="0" quotePrefix="0" xfId="0"/>
    <xf numFmtId="164" fontId="5" fillId="4" borderId="0" applyAlignment="1" pivotButton="0" quotePrefix="0" xfId="0">
      <alignment horizontal="right"/>
    </xf>
    <xf numFmtId="165" fontId="5" fillId="4" borderId="0" applyAlignment="1" pivotButton="0" quotePrefix="0" xfId="0">
      <alignment horizontal="right"/>
    </xf>
    <xf numFmtId="164" fontId="4" fillId="0" borderId="0" applyAlignment="1" pivotButton="0" quotePrefix="0" xfId="0">
      <alignment horizontal="right"/>
    </xf>
    <xf numFmtId="166" fontId="5" fillId="4" borderId="0" applyAlignment="1" pivotButton="0" quotePrefix="0" xfId="0">
      <alignment horizontal="right"/>
    </xf>
    <xf numFmtId="0" fontId="7" fillId="0" borderId="1" applyAlignment="1" pivotButton="0" quotePrefix="0" xfId="0">
      <alignment horizontal="left"/>
    </xf>
    <xf numFmtId="164" fontId="7" fillId="0" borderId="1" applyAlignment="1" pivotButton="0" quotePrefix="0" xfId="0">
      <alignment horizontal="right"/>
    </xf>
    <xf numFmtId="0" fontId="7" fillId="0" borderId="0" applyAlignment="1" pivotButton="0" quotePrefix="0" xfId="0">
      <alignment horizontal="left"/>
    </xf>
    <xf numFmtId="164" fontId="7" fillId="0" borderId="0" applyAlignment="1" pivotButton="0" quotePrefix="0" xfId="0">
      <alignment horizontal="right"/>
    </xf>
    <xf numFmtId="165" fontId="4" fillId="0" borderId="0" applyAlignment="1" pivotButton="0" quotePrefix="0" xfId="0">
      <alignment horizontal="right"/>
    </xf>
    <xf numFmtId="166" fontId="4" fillId="0" borderId="0" applyAlignment="1" pivotButton="0" quotePrefix="0" xfId="0">
      <alignment horizontal="right"/>
    </xf>
    <xf numFmtId="1" fontId="5" fillId="4" borderId="0" applyAlignment="1" pivotButton="0" quotePrefix="0" xfId="0">
      <alignment horizontal="right"/>
    </xf>
    <xf numFmtId="167" fontId="5" fillId="4" borderId="0" applyAlignment="1" pivotButton="0" quotePrefix="0" xfId="0">
      <alignment horizontal="right"/>
    </xf>
    <xf numFmtId="0" fontId="8" fillId="0" borderId="2" pivotButton="0" quotePrefix="0" xfId="0"/>
    <xf numFmtId="0" fontId="0" fillId="0" borderId="2" pivotButton="0" quotePrefix="0" xfId="0"/>
    <xf numFmtId="164" fontId="9" fillId="0" borderId="0" applyAlignment="1" pivotButton="0" quotePrefix="0" xfId="0">
      <alignment horizontal="right"/>
    </xf>
    <xf numFmtId="164" fontId="10" fillId="0" borderId="1" applyAlignment="1" pivotButton="0" quotePrefix="0" xfId="0">
      <alignment horizontal="right"/>
    </xf>
    <xf numFmtId="0" fontId="8" fillId="0" borderId="2" applyAlignment="1" pivotButton="0" quotePrefix="0" xfId="0">
      <alignment horizontal="center"/>
    </xf>
    <xf numFmtId="0" fontId="4" fillId="0" borderId="0" applyAlignment="1" pivotButton="0" quotePrefix="0" xfId="0">
      <alignment horizontal="right"/>
    </xf>
    <xf numFmtId="166" fontId="9" fillId="0" borderId="0" applyAlignment="1" pivotButton="0" quotePrefix="0" xfId="0">
      <alignment horizontal="right"/>
    </xf>
    <xf numFmtId="168" fontId="9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right"/>
    </xf>
    <xf numFmtId="0" fontId="0" fillId="0" borderId="1" pivotButton="0" quotePrefix="0" xfId="0"/>
    <xf numFmtId="0" fontId="4" fillId="0" borderId="1" applyAlignment="1" pivotButton="0" quotePrefix="0" xfId="0">
      <alignment horizontal="left"/>
    </xf>
    <xf numFmtId="165" fontId="9" fillId="0" borderId="1" applyAlignment="1" pivotButton="0" quotePrefix="0" xfId="0">
      <alignment horizontal="right"/>
    </xf>
    <xf numFmtId="165" fontId="9" fillId="0" borderId="0" applyAlignment="1" pivotButton="0" quotePrefix="0" xfId="0">
      <alignment horizontal="right"/>
    </xf>
    <xf numFmtId="165" fontId="7" fillId="0" borderId="0" applyAlignment="1" pivotButton="0" quotePrefix="0" xfId="0">
      <alignment horizontal="right"/>
    </xf>
    <xf numFmtId="166" fontId="10" fillId="0" borderId="1" applyAlignment="1" pivotButton="0" quotePrefix="0" xfId="0">
      <alignment horizontal="right"/>
    </xf>
    <xf numFmtId="0" fontId="8" fillId="0" borderId="2" applyAlignment="1" pivotButton="0" quotePrefix="0" xfId="0">
      <alignment horizontal="left"/>
    </xf>
    <xf numFmtId="165" fontId="9" fillId="0" borderId="2" applyAlignment="1" pivotButton="0" quotePrefix="0" xfId="0">
      <alignment horizontal="right"/>
    </xf>
    <xf numFmtId="0" fontId="0" fillId="5" borderId="0" pivotButton="0" quotePrefix="0" xfId="0"/>
    <xf numFmtId="166" fontId="9" fillId="5" borderId="0" applyAlignment="1" pivotButton="0" quotePrefix="0" xfId="0">
      <alignment horizontal="right"/>
    </xf>
    <xf numFmtId="165" fontId="9" fillId="5" borderId="0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E53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6" customWidth="1" min="2" max="2"/>
    <col width="16" customWidth="1" min="3" max="3"/>
    <col width="24" customWidth="1" min="4" max="4"/>
    <col width="14" customWidth="1" min="5" max="5"/>
  </cols>
  <sheetData>
    <row r="1" ht="28" customHeight="1">
      <c r="B1" s="1" t="inlineStr">
        <is>
          <t>Project Pure — LBO Model</t>
        </is>
      </c>
      <c r="C1" s="2" t="n"/>
      <c r="D1" s="2" t="n"/>
      <c r="E1" s="2" t="n"/>
    </row>
    <row r="2" ht="22" customHeight="1">
      <c r="B2" s="3" t="inlineStr">
        <is>
          <t>Confidential  |  NBO Stage  |  INR Millions</t>
        </is>
      </c>
      <c r="C2" s="2" t="n"/>
      <c r="D2" s="2" t="n"/>
      <c r="E2" s="2" t="n"/>
    </row>
    <row r="4" ht="20" customHeight="1">
      <c r="B4" s="4" t="inlineStr">
        <is>
          <t>Transaction Assumptions</t>
        </is>
      </c>
      <c r="C4" s="5" t="n"/>
      <c r="D4" s="5" t="n"/>
      <c r="E4" s="5" t="n"/>
    </row>
    <row r="5">
      <c r="B5" s="6" t="inlineStr">
        <is>
          <t>Company Name</t>
        </is>
      </c>
      <c r="C5" s="7" t="inlineStr">
        <is>
          <t>Pure (Project Pure)</t>
        </is>
      </c>
      <c r="D5" s="8" t="inlineStr">
        <is>
          <t>CIM</t>
        </is>
      </c>
    </row>
    <row r="6">
      <c r="B6" s="6" t="inlineStr">
        <is>
          <t>Transaction Date</t>
        </is>
      </c>
      <c r="C6" s="7" t="inlineStr">
        <is>
          <t>FY26E</t>
        </is>
      </c>
    </row>
    <row r="7">
      <c r="B7" s="6" t="inlineStr">
        <is>
          <t>LTM EBITDA (INR Mn)</t>
        </is>
      </c>
      <c r="C7" s="9" t="n">
        <v>3248</v>
      </c>
      <c r="D7" s="8" t="inlineStr">
        <is>
          <t>FY25 per CIM p.63</t>
        </is>
      </c>
    </row>
    <row r="8">
      <c r="B8" s="6" t="inlineStr">
        <is>
          <t>Entry EV / EBITDA</t>
        </is>
      </c>
      <c r="C8" s="10" t="n">
        <v>12</v>
      </c>
      <c r="D8" s="8" t="inlineStr">
        <is>
          <t>Indian biotech/eng. co.</t>
        </is>
      </c>
    </row>
    <row r="9">
      <c r="B9" s="6" t="inlineStr">
        <is>
          <t>Enterprise Value (INR Mn)</t>
        </is>
      </c>
      <c r="C9" s="11">
        <f>C7*C8</f>
        <v/>
      </c>
      <c r="D9" s="8" t="inlineStr">
        <is>
          <t>Calculated</t>
        </is>
      </c>
    </row>
    <row r="10">
      <c r="B10" s="6" t="inlineStr">
        <is>
          <t>Transaction Fees (% of EV)</t>
        </is>
      </c>
      <c r="C10" s="12" t="n">
        <v>0.025</v>
      </c>
      <c r="D10" s="8" t="inlineStr">
        <is>
          <t>PE default</t>
        </is>
      </c>
    </row>
    <row r="11">
      <c r="B11" s="6" t="inlineStr">
        <is>
          <t>Transaction Fees (INR Mn)</t>
        </is>
      </c>
      <c r="C11" s="11">
        <f>C9*C10</f>
        <v/>
      </c>
    </row>
    <row r="12">
      <c r="B12" s="13" t="inlineStr">
        <is>
          <t>Total Uses (INR Mn)</t>
        </is>
      </c>
      <c r="C12" s="14">
        <f>C9+C11</f>
        <v/>
      </c>
    </row>
    <row r="14" ht="20" customHeight="1">
      <c r="B14" s="4" t="inlineStr">
        <is>
          <t>Capital Structure</t>
        </is>
      </c>
      <c r="C14" s="5" t="n"/>
      <c r="D14" s="5" t="n"/>
      <c r="E14" s="5" t="n"/>
    </row>
    <row r="15">
      <c r="B15" s="6" t="inlineStr">
        <is>
          <t>Senior Secured (Turns)</t>
        </is>
      </c>
      <c r="C15" s="10" t="n">
        <v>2</v>
      </c>
      <c r="D15" s="8" t="inlineStr">
        <is>
          <t>Conservative for India</t>
        </is>
      </c>
    </row>
    <row r="16">
      <c r="B16" s="6" t="inlineStr">
        <is>
          <t>Senior Secured (INR Mn)</t>
        </is>
      </c>
      <c r="C16" s="11">
        <f>C15*C7</f>
        <v/>
      </c>
    </row>
    <row r="17">
      <c r="B17" s="6" t="inlineStr">
        <is>
          <t>Senior Secured Rate</t>
        </is>
      </c>
      <c r="C17" s="12" t="n">
        <v>0.095</v>
      </c>
      <c r="D17" s="8" t="inlineStr">
        <is>
          <t>India lending rate</t>
        </is>
      </c>
    </row>
    <row r="18">
      <c r="B18" s="6" t="inlineStr">
        <is>
          <t>Senior Amortization (% p.a.)</t>
        </is>
      </c>
      <c r="C18" s="12" t="n">
        <v>0.05</v>
      </c>
    </row>
    <row r="19">
      <c r="B19" s="6" t="inlineStr">
        <is>
          <t>Sub Debt (Turns)</t>
        </is>
      </c>
      <c r="C19" s="10" t="n">
        <v>1</v>
      </c>
    </row>
    <row r="20">
      <c r="B20" s="6" t="inlineStr">
        <is>
          <t>Sub Debt (INR Mn)</t>
        </is>
      </c>
      <c r="C20" s="11">
        <f>C19*C7</f>
        <v/>
      </c>
    </row>
    <row r="21">
      <c r="B21" s="6" t="inlineStr">
        <is>
          <t>Sub Rate</t>
        </is>
      </c>
      <c r="C21" s="12" t="n">
        <v>0.125</v>
      </c>
      <c r="D21" s="8" t="inlineStr">
        <is>
          <t>India sub-debt rate</t>
        </is>
      </c>
    </row>
    <row r="22">
      <c r="B22" s="15" t="inlineStr">
        <is>
          <t>Total Debt (INR Mn)</t>
        </is>
      </c>
      <c r="C22" s="16">
        <f>C16+C20</f>
        <v/>
      </c>
    </row>
    <row r="23">
      <c r="B23" s="6" t="inlineStr">
        <is>
          <t>Total Leverage (Turns)</t>
        </is>
      </c>
      <c r="C23" s="17">
        <f>IFERROR(C22/C7,"-")</f>
        <v/>
      </c>
    </row>
    <row r="24">
      <c r="B24" s="13" t="inlineStr">
        <is>
          <t>Sponsor Equity (INR Mn)</t>
        </is>
      </c>
      <c r="C24" s="14">
        <f>C12-C22</f>
        <v/>
      </c>
    </row>
    <row r="25">
      <c r="B25" s="6" t="inlineStr">
        <is>
          <t>Equity / Total Cap (%)</t>
        </is>
      </c>
      <c r="C25" s="18">
        <f>IFERROR(C24/C12,"-")</f>
        <v/>
      </c>
    </row>
    <row r="27" ht="20" customHeight="1">
      <c r="B27" s="4" t="inlineStr">
        <is>
          <t>Operating Assumptions</t>
        </is>
      </c>
      <c r="C27" s="5" t="n"/>
      <c r="D27" s="5" t="n"/>
      <c r="E27" s="5" t="n"/>
    </row>
    <row r="28">
      <c r="B28" s="6" t="inlineStr">
        <is>
          <t>LTM Revenue (INR Mn)</t>
        </is>
      </c>
      <c r="C28" s="9" t="n">
        <v>32280</v>
      </c>
      <c r="D28" s="8" t="inlineStr">
        <is>
          <t>FY25 per CIM p.63</t>
        </is>
      </c>
    </row>
    <row r="29">
      <c r="B29" s="6" t="inlineStr">
        <is>
          <t>Revenue Growth Year 1</t>
        </is>
      </c>
      <c r="C29" s="12" t="n">
        <v>0.1</v>
      </c>
      <c r="D29" s="8" t="inlineStr">
        <is>
          <t>Recovery from FY25 dip</t>
        </is>
      </c>
    </row>
    <row r="30">
      <c r="B30" s="6" t="inlineStr">
        <is>
          <t>Revenue Growth Year 2</t>
        </is>
      </c>
      <c r="C30" s="12" t="n">
        <v>0.15</v>
      </c>
      <c r="D30" s="8" t="inlineStr">
        <is>
          <t>Ramp: CBG, 2G, CPEM</t>
        </is>
      </c>
    </row>
    <row r="31">
      <c r="B31" s="6" t="inlineStr">
        <is>
          <t>Revenue Growth Year 3</t>
        </is>
      </c>
      <c r="C31" s="12" t="n">
        <v>0.15</v>
      </c>
      <c r="D31" s="8" t="inlineStr">
        <is>
          <t>Continued ramp</t>
        </is>
      </c>
    </row>
    <row r="32">
      <c r="B32" s="6" t="inlineStr">
        <is>
          <t>Revenue Growth Year 4</t>
        </is>
      </c>
      <c r="C32" s="12" t="n">
        <v>0.12</v>
      </c>
      <c r="D32" s="8" t="inlineStr">
        <is>
          <t>Maturing</t>
        </is>
      </c>
    </row>
    <row r="33">
      <c r="B33" s="6" t="inlineStr">
        <is>
          <t>Revenue Growth Year 5</t>
        </is>
      </c>
      <c r="C33" s="12" t="n">
        <v>0.1</v>
      </c>
      <c r="D33" s="8" t="inlineStr">
        <is>
          <t>Steady state</t>
        </is>
      </c>
    </row>
    <row r="34">
      <c r="B34" s="6" t="inlineStr">
        <is>
          <t>EBITDA Margin Year 1</t>
        </is>
      </c>
      <c r="C34" s="12" t="n">
        <v>0.105</v>
      </c>
      <c r="D34" s="8" t="inlineStr">
        <is>
          <t>Near FY24 peak 11.2%</t>
        </is>
      </c>
    </row>
    <row r="35">
      <c r="B35" s="6" t="inlineStr">
        <is>
          <t>EBITDA Margin Year 2</t>
        </is>
      </c>
      <c r="C35" s="12" t="n">
        <v>0.11</v>
      </c>
      <c r="D35" s="8" t="inlineStr">
        <is>
          <t>Mix shift to services</t>
        </is>
      </c>
    </row>
    <row r="36">
      <c r="B36" s="6" t="inlineStr">
        <is>
          <t>EBITDA Margin Year 3</t>
        </is>
      </c>
      <c r="C36" s="12" t="n">
        <v>0.115</v>
      </c>
      <c r="D36" s="8" t="inlineStr">
        <is>
          <t>Margin expansion</t>
        </is>
      </c>
    </row>
    <row r="37">
      <c r="B37" s="6" t="inlineStr">
        <is>
          <t>EBITDA Margin Year 4</t>
        </is>
      </c>
      <c r="C37" s="12" t="n">
        <v>0.12</v>
      </c>
      <c r="D37" s="8" t="inlineStr">
        <is>
          <t>Scale benefits</t>
        </is>
      </c>
    </row>
    <row r="38">
      <c r="B38" s="6" t="inlineStr">
        <is>
          <t>EBITDA Margin Year 5</t>
        </is>
      </c>
      <c r="C38" s="12" t="n">
        <v>0.125</v>
      </c>
      <c r="D38" s="8" t="inlineStr">
        <is>
          <t>Target margin</t>
        </is>
      </c>
    </row>
    <row r="39">
      <c r="B39" s="6" t="inlineStr">
        <is>
          <t>D&amp;A (% of Revenue)</t>
        </is>
      </c>
      <c r="C39" s="12" t="n">
        <v>0.03</v>
      </c>
      <c r="D39" s="8" t="inlineStr">
        <is>
          <t>FY25: 2.7%, rounded up</t>
        </is>
      </c>
    </row>
    <row r="40">
      <c r="B40" s="6" t="inlineStr">
        <is>
          <t>Capex (% of Revenue)</t>
        </is>
      </c>
      <c r="C40" s="12" t="n">
        <v>0.03</v>
      </c>
      <c r="D40" s="8" t="inlineStr">
        <is>
          <t>Asset-light post-Mangalore</t>
        </is>
      </c>
    </row>
    <row r="41">
      <c r="B41" s="6" t="inlineStr">
        <is>
          <t>NWC (% of Rev Growth)</t>
        </is>
      </c>
      <c r="C41" s="12" t="n">
        <v>0.1</v>
      </c>
      <c r="D41" s="8" t="inlineStr">
        <is>
          <t>PE default</t>
        </is>
      </c>
    </row>
    <row r="42">
      <c r="B42" s="6" t="inlineStr">
        <is>
          <t>Tax Rate</t>
        </is>
      </c>
      <c r="C42" s="12" t="n">
        <v>0.25</v>
      </c>
      <c r="D42" s="8" t="inlineStr">
        <is>
          <t>Indian effective rate</t>
        </is>
      </c>
    </row>
    <row r="43">
      <c r="B43" s="6" t="inlineStr">
        <is>
          <t>Cash Sweep %</t>
        </is>
      </c>
      <c r="C43" s="12" t="n">
        <v>0.5</v>
      </c>
      <c r="D43" s="8" t="inlineStr">
        <is>
          <t>PE default</t>
        </is>
      </c>
    </row>
    <row r="45" ht="20" customHeight="1">
      <c r="B45" s="4" t="inlineStr">
        <is>
          <t>Exit Assumptions</t>
        </is>
      </c>
      <c r="C45" s="5" t="n"/>
      <c r="D45" s="5" t="n"/>
      <c r="E45" s="5" t="n"/>
    </row>
    <row r="46">
      <c r="B46" s="6" t="inlineStr">
        <is>
          <t>Exit Year</t>
        </is>
      </c>
      <c r="C46" s="19" t="n">
        <v>5</v>
      </c>
    </row>
    <row r="47">
      <c r="B47" s="6" t="inlineStr">
        <is>
          <t>Exit EV / EBITDA</t>
        </is>
      </c>
      <c r="C47" s="10" t="n">
        <v>12</v>
      </c>
      <c r="D47" s="8" t="inlineStr">
        <is>
          <t>Same as entry</t>
        </is>
      </c>
    </row>
    <row r="48">
      <c r="B48" s="6" t="inlineStr">
        <is>
          <t>Exit Multiple Low</t>
        </is>
      </c>
      <c r="C48" s="20" t="n">
        <v>9</v>
      </c>
    </row>
    <row r="49">
      <c r="B49" s="6" t="inlineStr">
        <is>
          <t>Exit Multiple High</t>
        </is>
      </c>
      <c r="C49" s="20" t="n">
        <v>15</v>
      </c>
    </row>
    <row r="50">
      <c r="B50" s="6" t="inlineStr">
        <is>
          <t>Exit Multiple Step</t>
        </is>
      </c>
      <c r="C50" s="20" t="n">
        <v>1</v>
      </c>
    </row>
    <row r="51">
      <c r="B51" s="6" t="inlineStr">
        <is>
          <t>Margin Low</t>
        </is>
      </c>
      <c r="C51" s="12" t="n">
        <v>0.08500000000000001</v>
      </c>
    </row>
    <row r="52">
      <c r="B52" s="6" t="inlineStr">
        <is>
          <t>Margin High</t>
        </is>
      </c>
      <c r="C52" s="12" t="n">
        <v>0.165</v>
      </c>
    </row>
    <row r="53">
      <c r="B53" s="6" t="inlineStr">
        <is>
          <t>Margin Step</t>
        </is>
      </c>
      <c r="C53" s="12" t="n">
        <v>0.02</v>
      </c>
    </row>
  </sheetData>
  <mergeCells count="6">
    <mergeCell ref="B45:E45"/>
    <mergeCell ref="B27:E27"/>
    <mergeCell ref="B1:E1"/>
    <mergeCell ref="B4:E4"/>
    <mergeCell ref="B2:E2"/>
    <mergeCell ref="B14:E14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F10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0" customWidth="1" min="2" max="2"/>
    <col width="16" customWidth="1" min="3" max="3"/>
    <col width="4" customWidth="1" min="4" max="4"/>
    <col width="30" customWidth="1" min="5" max="5"/>
    <col width="16" customWidth="1" min="6" max="6"/>
  </cols>
  <sheetData>
    <row r="1" ht="28" customHeight="1">
      <c r="B1" s="1" t="inlineStr">
        <is>
          <t>Sources &amp; Uses</t>
        </is>
      </c>
      <c r="C1" s="2" t="n"/>
      <c r="D1" s="2" t="n"/>
      <c r="E1" s="2" t="n"/>
      <c r="F1" s="2" t="n"/>
    </row>
    <row r="2" ht="22" customHeight="1">
      <c r="B2" s="3" t="inlineStr">
        <is>
          <t>INR Millions</t>
        </is>
      </c>
      <c r="C2" s="2" t="n"/>
      <c r="D2" s="2" t="n"/>
      <c r="E2" s="2" t="n"/>
      <c r="F2" s="2" t="n"/>
    </row>
    <row r="4">
      <c r="B4" s="21" t="inlineStr">
        <is>
          <t>Sources</t>
        </is>
      </c>
      <c r="C4" s="22" t="n"/>
      <c r="E4" s="21" t="inlineStr">
        <is>
          <t>Uses</t>
        </is>
      </c>
      <c r="F4" s="22" t="n"/>
    </row>
    <row r="5">
      <c r="B5" s="6" t="inlineStr">
        <is>
          <t>Senior Secured Debt</t>
        </is>
      </c>
      <c r="C5" s="23">
        <f>Assumptions!$C$16</f>
        <v/>
      </c>
      <c r="E5" s="6" t="inlineStr">
        <is>
          <t>Enterprise Value</t>
        </is>
      </c>
      <c r="F5" s="23">
        <f>Assumptions!$C$9</f>
        <v/>
      </c>
    </row>
    <row r="6">
      <c r="B6" s="6" t="inlineStr">
        <is>
          <t>Subordinated Debt</t>
        </is>
      </c>
      <c r="C6" s="23">
        <f>Assumptions!$C$20</f>
        <v/>
      </c>
      <c r="E6" s="6" t="inlineStr">
        <is>
          <t>Transaction Fees</t>
        </is>
      </c>
      <c r="F6" s="23">
        <f>Assumptions!$C$11</f>
        <v/>
      </c>
    </row>
    <row r="7">
      <c r="B7" s="6" t="inlineStr">
        <is>
          <t>Sponsor Equity</t>
        </is>
      </c>
      <c r="C7" s="23">
        <f>Assumptions!$C$24</f>
        <v/>
      </c>
    </row>
    <row r="8">
      <c r="B8" s="13" t="inlineStr">
        <is>
          <t>Total Sources</t>
        </is>
      </c>
      <c r="C8" s="14">
        <f>SUM(C5:C7)</f>
        <v/>
      </c>
      <c r="E8" s="13" t="inlineStr">
        <is>
          <t>Total Uses</t>
        </is>
      </c>
      <c r="F8" s="24">
        <f>Assumptions!$C$12</f>
        <v/>
      </c>
    </row>
    <row r="10">
      <c r="B10" s="15" t="inlineStr">
        <is>
          <t>Balance Check (Sources − Uses)</t>
        </is>
      </c>
      <c r="C10" s="16">
        <f>C8-F8</f>
        <v/>
      </c>
    </row>
  </sheetData>
  <mergeCells count="2">
    <mergeCell ref="B2:F2"/>
    <mergeCell ref="B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H17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8" customHeight="1">
      <c r="B1" s="1" t="inlineStr">
        <is>
          <t>Operating Model — P&amp;L to UFCF</t>
        </is>
      </c>
      <c r="C1" s="2" t="n"/>
      <c r="D1" s="2" t="n"/>
      <c r="E1" s="2" t="n"/>
      <c r="F1" s="2" t="n"/>
      <c r="G1" s="2" t="n"/>
      <c r="H1" s="2" t="n"/>
    </row>
    <row r="2" ht="22" customHeight="1">
      <c r="B2" s="3" t="inlineStr">
        <is>
          <t>INR Millions</t>
        </is>
      </c>
      <c r="C2" s="2" t="n"/>
      <c r="D2" s="2" t="n"/>
      <c r="E2" s="2" t="n"/>
      <c r="F2" s="2" t="n"/>
      <c r="G2" s="2" t="n"/>
      <c r="H2" s="2" t="n"/>
    </row>
    <row r="4" ht="20" customHeight="1">
      <c r="B4" s="4" t="inlineStr">
        <is>
          <t>Income Statement &amp; Free Cash Flow</t>
        </is>
      </c>
      <c r="C4" s="5" t="n"/>
      <c r="D4" s="5" t="n"/>
      <c r="E4" s="5" t="n"/>
      <c r="F4" s="5" t="n"/>
      <c r="G4" s="5" t="n"/>
      <c r="H4" s="5" t="n"/>
    </row>
    <row r="5">
      <c r="B5" s="25" t="inlineStr"/>
      <c r="C5" s="25" t="inlineStr">
        <is>
          <t>LTM</t>
        </is>
      </c>
      <c r="D5" s="25" t="inlineStr">
        <is>
          <t>Year 1</t>
        </is>
      </c>
      <c r="E5" s="25" t="inlineStr">
        <is>
          <t>Year 2</t>
        </is>
      </c>
      <c r="F5" s="25" t="inlineStr">
        <is>
          <t>Year 3</t>
        </is>
      </c>
      <c r="G5" s="25" t="inlineStr">
        <is>
          <t>Year 4</t>
        </is>
      </c>
      <c r="H5" s="25" t="inlineStr">
        <is>
          <t>Year 5</t>
        </is>
      </c>
    </row>
    <row r="6">
      <c r="B6" s="15" t="inlineStr">
        <is>
          <t>Revenue</t>
        </is>
      </c>
      <c r="C6" s="23">
        <f>Assumptions!$C$28</f>
        <v/>
      </c>
      <c r="D6" s="23">
        <f>C6*(1+Assumptions!$C$29)</f>
        <v/>
      </c>
      <c r="E6" s="23">
        <f>D6*(1+Assumptions!$C$30)</f>
        <v/>
      </c>
      <c r="F6" s="23">
        <f>E6*(1+Assumptions!$C$31)</f>
        <v/>
      </c>
      <c r="G6" s="23">
        <f>F6*(1+Assumptions!$C$32)</f>
        <v/>
      </c>
      <c r="H6" s="23">
        <f>G6*(1+Assumptions!$C$33)</f>
        <v/>
      </c>
    </row>
    <row r="7">
      <c r="B7" s="6" t="inlineStr">
        <is>
          <t xml:space="preserve">  Revenue Growth %</t>
        </is>
      </c>
      <c r="C7" s="26">
        <f>"-"</f>
        <v/>
      </c>
      <c r="D7" s="27">
        <f>Assumptions!$C$29</f>
        <v/>
      </c>
      <c r="E7" s="27">
        <f>Assumptions!$C$30</f>
        <v/>
      </c>
      <c r="F7" s="27">
        <f>Assumptions!$C$31</f>
        <v/>
      </c>
      <c r="G7" s="27">
        <f>Assumptions!$C$32</f>
        <v/>
      </c>
      <c r="H7" s="27">
        <f>Assumptions!$C$33</f>
        <v/>
      </c>
    </row>
    <row r="8">
      <c r="B8" s="6" t="inlineStr">
        <is>
          <t xml:space="preserve">  EBITDA Margin %</t>
        </is>
      </c>
      <c r="C8" s="18">
        <f>IFERROR(C9/C6,"-")</f>
        <v/>
      </c>
      <c r="D8" s="27">
        <f>Assumptions!$C$34</f>
        <v/>
      </c>
      <c r="E8" s="27">
        <f>Assumptions!$C$35</f>
        <v/>
      </c>
      <c r="F8" s="27">
        <f>Assumptions!$C$36</f>
        <v/>
      </c>
      <c r="G8" s="27">
        <f>Assumptions!$C$37</f>
        <v/>
      </c>
      <c r="H8" s="27">
        <f>Assumptions!$C$38</f>
        <v/>
      </c>
    </row>
    <row r="9">
      <c r="B9" s="15" t="inlineStr">
        <is>
          <t>EBITDA</t>
        </is>
      </c>
      <c r="C9" s="23">
        <f>Assumptions!$C$7</f>
        <v/>
      </c>
      <c r="D9" s="11">
        <f>D6*D8</f>
        <v/>
      </c>
      <c r="E9" s="11">
        <f>E6*E8</f>
        <v/>
      </c>
      <c r="F9" s="11">
        <f>F6*F8</f>
        <v/>
      </c>
      <c r="G9" s="11">
        <f>G6*G8</f>
        <v/>
      </c>
      <c r="H9" s="11">
        <f>H6*H8</f>
        <v/>
      </c>
    </row>
    <row r="10">
      <c r="B10" s="6" t="inlineStr">
        <is>
          <t>(-) D&amp;A</t>
        </is>
      </c>
      <c r="C10" s="28">
        <f>-C6*Assumptions!$C$39</f>
        <v/>
      </c>
      <c r="D10" s="28">
        <f>-D6*Assumptions!$C$39</f>
        <v/>
      </c>
      <c r="E10" s="28">
        <f>-E6*Assumptions!$C$39</f>
        <v/>
      </c>
      <c r="F10" s="28">
        <f>-F6*Assumptions!$C$39</f>
        <v/>
      </c>
      <c r="G10" s="28">
        <f>-G6*Assumptions!$C$39</f>
        <v/>
      </c>
      <c r="H10" s="28">
        <f>-H6*Assumptions!$C$39</f>
        <v/>
      </c>
    </row>
    <row r="11">
      <c r="B11" s="6" t="inlineStr">
        <is>
          <t>EBIT</t>
        </is>
      </c>
      <c r="C11" s="29">
        <f>C9+C10</f>
        <v/>
      </c>
      <c r="D11" s="29">
        <f>D9+D10</f>
        <v/>
      </c>
      <c r="E11" s="29">
        <f>E9+E10</f>
        <v/>
      </c>
      <c r="F11" s="29">
        <f>F9+F10</f>
        <v/>
      </c>
      <c r="G11" s="29">
        <f>G9+G10</f>
        <v/>
      </c>
      <c r="H11" s="29">
        <f>H9+H10</f>
        <v/>
      </c>
    </row>
    <row r="12">
      <c r="B12" s="6" t="inlineStr">
        <is>
          <t>(-) Taxes</t>
        </is>
      </c>
      <c r="C12" s="28">
        <f>-MAX(C11,0)*Assumptions!$C$42</f>
        <v/>
      </c>
      <c r="D12" s="28">
        <f>-MAX(D11,0)*Assumptions!$C$42</f>
        <v/>
      </c>
      <c r="E12" s="28">
        <f>-MAX(E11,0)*Assumptions!$C$42</f>
        <v/>
      </c>
      <c r="F12" s="28">
        <f>-MAX(F11,0)*Assumptions!$C$42</f>
        <v/>
      </c>
      <c r="G12" s="28">
        <f>-MAX(G11,0)*Assumptions!$C$42</f>
        <v/>
      </c>
      <c r="H12" s="28">
        <f>-MAX(H11,0)*Assumptions!$C$42</f>
        <v/>
      </c>
    </row>
    <row r="13">
      <c r="B13" s="6" t="inlineStr">
        <is>
          <t>NOPAT</t>
        </is>
      </c>
      <c r="C13" s="29">
        <f>C11+C12</f>
        <v/>
      </c>
      <c r="D13" s="29">
        <f>D11+D12</f>
        <v/>
      </c>
      <c r="E13" s="29">
        <f>E11+E12</f>
        <v/>
      </c>
      <c r="F13" s="29">
        <f>F11+F12</f>
        <v/>
      </c>
      <c r="G13" s="29">
        <f>G11+G12</f>
        <v/>
      </c>
      <c r="H13" s="29">
        <f>H11+H12</f>
        <v/>
      </c>
    </row>
    <row r="14">
      <c r="B14" s="6" t="inlineStr">
        <is>
          <t>(+) D&amp;A Addback</t>
        </is>
      </c>
      <c r="C14" s="11">
        <f>-C10</f>
        <v/>
      </c>
      <c r="D14" s="11">
        <f>-D10</f>
        <v/>
      </c>
      <c r="E14" s="11">
        <f>-E10</f>
        <v/>
      </c>
      <c r="F14" s="11">
        <f>-F10</f>
        <v/>
      </c>
      <c r="G14" s="11">
        <f>-G10</f>
        <v/>
      </c>
      <c r="H14" s="11">
        <f>-H10</f>
        <v/>
      </c>
    </row>
    <row r="15">
      <c r="B15" s="6" t="inlineStr">
        <is>
          <t>(-) Capex</t>
        </is>
      </c>
      <c r="C15" s="28">
        <f>-C6*Assumptions!$C$40</f>
        <v/>
      </c>
      <c r="D15" s="28">
        <f>-D6*Assumptions!$C$40</f>
        <v/>
      </c>
      <c r="E15" s="28">
        <f>-E6*Assumptions!$C$40</f>
        <v/>
      </c>
      <c r="F15" s="28">
        <f>-F6*Assumptions!$C$40</f>
        <v/>
      </c>
      <c r="G15" s="28">
        <f>-G6*Assumptions!$C$40</f>
        <v/>
      </c>
      <c r="H15" s="28">
        <f>-H6*Assumptions!$C$40</f>
        <v/>
      </c>
    </row>
    <row r="16">
      <c r="B16" s="6" t="inlineStr">
        <is>
          <t>(-) ΔNWC</t>
        </is>
      </c>
      <c r="C16" s="29">
        <f>0</f>
        <v/>
      </c>
      <c r="D16" s="28">
        <f>-(D6-C6)*Assumptions!$C$41</f>
        <v/>
      </c>
      <c r="E16" s="28">
        <f>-(E6-D6)*Assumptions!$C$41</f>
        <v/>
      </c>
      <c r="F16" s="28">
        <f>-(F6-E6)*Assumptions!$C$41</f>
        <v/>
      </c>
      <c r="G16" s="28">
        <f>-(G6-F6)*Assumptions!$C$41</f>
        <v/>
      </c>
      <c r="H16" s="28">
        <f>-(H6-G6)*Assumptions!$C$41</f>
        <v/>
      </c>
    </row>
    <row r="17">
      <c r="B17" s="13" t="inlineStr">
        <is>
          <t>Unlevered Free Cash Flow</t>
        </is>
      </c>
      <c r="C17" s="14">
        <f>C13+C14+C15+C16</f>
        <v/>
      </c>
      <c r="D17" s="14">
        <f>D13+D14+D15+D16</f>
        <v/>
      </c>
      <c r="E17" s="14">
        <f>E13+E14+E15+E16</f>
        <v/>
      </c>
      <c r="F17" s="14">
        <f>F13+F14+F15+F16</f>
        <v/>
      </c>
      <c r="G17" s="14">
        <f>G13+G14+G15+G16</f>
        <v/>
      </c>
      <c r="H17" s="14">
        <f>H13+H14+H15+H16</f>
        <v/>
      </c>
    </row>
  </sheetData>
  <mergeCells count="3">
    <mergeCell ref="B1:H1"/>
    <mergeCell ref="B4:H4"/>
    <mergeCell ref="B2:H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H20"/>
  <sheetViews>
    <sheetView showGridLines="0" workbookViewId="0">
      <pane xSplit="2" ySplit="5" topLeftCell="C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6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8" customHeight="1">
      <c r="B1" s="1" t="inlineStr">
        <is>
          <t>Debt Schedule</t>
        </is>
      </c>
      <c r="C1" s="2" t="n"/>
      <c r="D1" s="2" t="n"/>
      <c r="E1" s="2" t="n"/>
      <c r="F1" s="2" t="n"/>
      <c r="G1" s="2" t="n"/>
      <c r="H1" s="2" t="n"/>
    </row>
    <row r="2" ht="22" customHeight="1">
      <c r="B2" s="3" t="inlineStr">
        <is>
          <t>INR Millions</t>
        </is>
      </c>
      <c r="C2" s="2" t="n"/>
      <c r="D2" s="2" t="n"/>
      <c r="E2" s="2" t="n"/>
      <c r="F2" s="2" t="n"/>
      <c r="G2" s="2" t="n"/>
      <c r="H2" s="2" t="n"/>
    </row>
    <row r="4" ht="20" customHeight="1">
      <c r="B4" s="4" t="inlineStr">
        <is>
          <t>Senior Secured Debt</t>
        </is>
      </c>
      <c r="C4" s="5" t="n"/>
      <c r="D4" s="5" t="n"/>
      <c r="E4" s="5" t="n"/>
      <c r="F4" s="5" t="n"/>
      <c r="G4" s="5" t="n"/>
      <c r="H4" s="5" t="n"/>
    </row>
    <row r="5">
      <c r="B5" s="25" t="inlineStr"/>
      <c r="C5" s="25" t="inlineStr">
        <is>
          <t>Entry</t>
        </is>
      </c>
      <c r="D5" s="25" t="inlineStr">
        <is>
          <t>Year 1</t>
        </is>
      </c>
      <c r="E5" s="25" t="inlineStr">
        <is>
          <t>Year 2</t>
        </is>
      </c>
      <c r="F5" s="25" t="inlineStr">
        <is>
          <t>Year 3</t>
        </is>
      </c>
      <c r="G5" s="25" t="inlineStr">
        <is>
          <t>Year 4</t>
        </is>
      </c>
      <c r="H5" s="25" t="inlineStr">
        <is>
          <t>Year 5</t>
        </is>
      </c>
    </row>
    <row r="6">
      <c r="B6" s="6" t="inlineStr">
        <is>
          <t>Beginning Balance</t>
        </is>
      </c>
      <c r="C6" s="23">
        <f>Assumptions!$C$16</f>
        <v/>
      </c>
      <c r="D6" s="11">
        <f>$C$6</f>
        <v/>
      </c>
      <c r="E6" s="11">
        <f>D10</f>
        <v/>
      </c>
      <c r="F6" s="11">
        <f>E10</f>
        <v/>
      </c>
      <c r="G6" s="11">
        <f>F10</f>
        <v/>
      </c>
      <c r="H6" s="11">
        <f>G10</f>
        <v/>
      </c>
    </row>
    <row r="7">
      <c r="B7" s="6" t="inlineStr">
        <is>
          <t>(-) Mandatory Amortization</t>
        </is>
      </c>
      <c r="D7" s="28">
        <f>-Assumptions!$C$16*Assumptions!$C$18</f>
        <v/>
      </c>
      <c r="E7" s="28">
        <f>-Assumptions!$C$16*Assumptions!$C$18</f>
        <v/>
      </c>
      <c r="F7" s="28">
        <f>-Assumptions!$C$16*Assumptions!$C$18</f>
        <v/>
      </c>
      <c r="G7" s="28">
        <f>-Assumptions!$C$16*Assumptions!$C$18</f>
        <v/>
      </c>
      <c r="H7" s="28">
        <f>-Assumptions!$C$16*Assumptions!$C$18</f>
        <v/>
      </c>
    </row>
    <row r="8">
      <c r="B8" s="6" t="inlineStr">
        <is>
          <t>(-) Cash Sweep</t>
        </is>
      </c>
      <c r="D8" s="28">
        <f>-MIN(MAX('Operating Model'!D17+D9+D14+D7,0)*Assumptions!$C$43,D6+D7)</f>
        <v/>
      </c>
      <c r="E8" s="28">
        <f>-MIN(MAX('Operating Model'!E17+E9+E14+E7,0)*Assumptions!$C$43,E6+E7)</f>
        <v/>
      </c>
      <c r="F8" s="28">
        <f>-MIN(MAX('Operating Model'!F17+F9+F14+F7,0)*Assumptions!$C$43,F6+F7)</f>
        <v/>
      </c>
      <c r="G8" s="28">
        <f>-MIN(MAX('Operating Model'!G17+G9+G14+G7,0)*Assumptions!$C$43,G6+G7)</f>
        <v/>
      </c>
      <c r="H8" s="28">
        <f>-MIN(MAX('Operating Model'!H17+H9+H14+H7,0)*Assumptions!$C$43,H6+H7)</f>
        <v/>
      </c>
    </row>
    <row r="9">
      <c r="B9" s="6" t="inlineStr">
        <is>
          <t>Interest Expense</t>
        </is>
      </c>
      <c r="D9" s="28">
        <f>-D6*Assumptions!$C$17</f>
        <v/>
      </c>
      <c r="E9" s="28">
        <f>-E6*Assumptions!$C$17</f>
        <v/>
      </c>
      <c r="F9" s="28">
        <f>-F6*Assumptions!$C$17</f>
        <v/>
      </c>
      <c r="G9" s="28">
        <f>-G6*Assumptions!$C$17</f>
        <v/>
      </c>
      <c r="H9" s="28">
        <f>-H6*Assumptions!$C$17</f>
        <v/>
      </c>
    </row>
    <row r="10">
      <c r="B10" s="13" t="inlineStr">
        <is>
          <t>Ending Balance</t>
        </is>
      </c>
      <c r="C10" s="30" t="n"/>
      <c r="D10" s="14">
        <f>MAX(D6+D7+D8,0)</f>
        <v/>
      </c>
      <c r="E10" s="14">
        <f>MAX(E6+E7+E8,0)</f>
        <v/>
      </c>
      <c r="F10" s="14">
        <f>MAX(F6+F7+F8,0)</f>
        <v/>
      </c>
      <c r="G10" s="14">
        <f>MAX(G6+G7+G8,0)</f>
        <v/>
      </c>
      <c r="H10" s="14">
        <f>MAX(H6+H7+H8,0)</f>
        <v/>
      </c>
    </row>
    <row r="12" ht="20" customHeight="1">
      <c r="B12" s="4" t="inlineStr">
        <is>
          <t>Subordinated Debt (Bullet)</t>
        </is>
      </c>
      <c r="C12" s="5" t="n"/>
      <c r="D12" s="5" t="n"/>
      <c r="E12" s="5" t="n"/>
      <c r="F12" s="5" t="n"/>
      <c r="G12" s="5" t="n"/>
      <c r="H12" s="5" t="n"/>
    </row>
    <row r="13">
      <c r="B13" s="6" t="inlineStr">
        <is>
          <t>Beginning Balance</t>
        </is>
      </c>
      <c r="C13" s="23">
        <f>Assumptions!$C$20</f>
        <v/>
      </c>
      <c r="D13" s="11">
        <f>$C$13</f>
        <v/>
      </c>
      <c r="E13" s="11">
        <f>$C$13</f>
        <v/>
      </c>
      <c r="F13" s="11">
        <f>$C$13</f>
        <v/>
      </c>
      <c r="G13" s="11">
        <f>$C$13</f>
        <v/>
      </c>
      <c r="H13" s="11">
        <f>$C$13</f>
        <v/>
      </c>
    </row>
    <row r="14">
      <c r="B14" s="6" t="inlineStr">
        <is>
          <t>Interest Expense</t>
        </is>
      </c>
      <c r="D14" s="28">
        <f>-$C$13*Assumptions!$C$21</f>
        <v/>
      </c>
      <c r="E14" s="28">
        <f>-$C$13*Assumptions!$C$21</f>
        <v/>
      </c>
      <c r="F14" s="28">
        <f>-$C$13*Assumptions!$C$21</f>
        <v/>
      </c>
      <c r="G14" s="28">
        <f>-$C$13*Assumptions!$C$21</f>
        <v/>
      </c>
      <c r="H14" s="28">
        <f>-$C$13*Assumptions!$C$21</f>
        <v/>
      </c>
    </row>
    <row r="15">
      <c r="B15" s="13" t="inlineStr">
        <is>
          <t>Ending Balance</t>
        </is>
      </c>
      <c r="C15" s="30" t="n"/>
      <c r="D15" s="14">
        <f>$C$13</f>
        <v/>
      </c>
      <c r="E15" s="14">
        <f>$C$13</f>
        <v/>
      </c>
      <c r="F15" s="14">
        <f>$C$13</f>
        <v/>
      </c>
      <c r="G15" s="14">
        <f>$C$13</f>
        <v/>
      </c>
      <c r="H15" s="14">
        <f>$C$13</f>
        <v/>
      </c>
    </row>
    <row r="17" ht="20" customHeight="1">
      <c r="B17" s="4" t="inlineStr">
        <is>
          <t>Debt Summary</t>
        </is>
      </c>
      <c r="C17" s="5" t="n"/>
      <c r="D17" s="5" t="n"/>
      <c r="E17" s="5" t="n"/>
      <c r="F17" s="5" t="n"/>
      <c r="G17" s="5" t="n"/>
      <c r="H17" s="5" t="n"/>
    </row>
    <row r="18">
      <c r="B18" s="15" t="inlineStr">
        <is>
          <t>Total Debt Outstanding</t>
        </is>
      </c>
      <c r="C18" s="16">
        <f>C6+C13</f>
        <v/>
      </c>
      <c r="D18" s="16">
        <f>D10+D15</f>
        <v/>
      </c>
      <c r="E18" s="16">
        <f>E10+E15</f>
        <v/>
      </c>
      <c r="F18" s="16">
        <f>F10+F15</f>
        <v/>
      </c>
      <c r="G18" s="16">
        <f>G10+G15</f>
        <v/>
      </c>
      <c r="H18" s="16">
        <f>H10+H15</f>
        <v/>
      </c>
    </row>
    <row r="19">
      <c r="B19" s="6" t="inlineStr">
        <is>
          <t>Total Interest Expense</t>
        </is>
      </c>
      <c r="D19" s="29">
        <f>D9+D14</f>
        <v/>
      </c>
      <c r="E19" s="29">
        <f>E9+E14</f>
        <v/>
      </c>
      <c r="F19" s="29">
        <f>F9+F14</f>
        <v/>
      </c>
      <c r="G19" s="29">
        <f>G9+G14</f>
        <v/>
      </c>
      <c r="H19" s="29">
        <f>H9+H14</f>
        <v/>
      </c>
    </row>
    <row r="20">
      <c r="B20" s="31" t="inlineStr">
        <is>
          <t>Net Leverage (Debt / EBITDA)</t>
        </is>
      </c>
      <c r="C20" s="32">
        <f>IFERROR(C18/Assumptions!$C$7,"-")</f>
        <v/>
      </c>
      <c r="D20" s="32">
        <f>IFERROR(D18/'Operating Model'!D9,"-")</f>
        <v/>
      </c>
      <c r="E20" s="32">
        <f>IFERROR(E18/'Operating Model'!E9,"-")</f>
        <v/>
      </c>
      <c r="F20" s="32">
        <f>IFERROR(F18/'Operating Model'!F9,"-")</f>
        <v/>
      </c>
      <c r="G20" s="32">
        <f>IFERROR(G18/'Operating Model'!G9,"-")</f>
        <v/>
      </c>
      <c r="H20" s="32">
        <f>IFERROR(H18/'Operating Model'!H9,"-")</f>
        <v/>
      </c>
    </row>
  </sheetData>
  <mergeCells count="5">
    <mergeCell ref="B17:H17"/>
    <mergeCell ref="B1:H1"/>
    <mergeCell ref="B4:H4"/>
    <mergeCell ref="B12:H12"/>
    <mergeCell ref="B2:H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1:D18"/>
  <sheetViews>
    <sheetView showGridLines="0" workbookViewId="0">
      <pane xSplit="2" ySplit="3" topLeftCell="C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36" customWidth="1" min="2" max="2"/>
    <col width="18" customWidth="1" min="3" max="3"/>
    <col width="18" customWidth="1" min="4" max="4"/>
  </cols>
  <sheetData>
    <row r="1" ht="28" customHeight="1">
      <c r="B1" s="1" t="inlineStr">
        <is>
          <t>Sponsor Returns Analysis</t>
        </is>
      </c>
      <c r="C1" s="2" t="n"/>
      <c r="D1" s="2" t="n"/>
    </row>
    <row r="2" ht="22" customHeight="1">
      <c r="B2" s="3" t="inlineStr">
        <is>
          <t>INR Millions</t>
        </is>
      </c>
      <c r="C2" s="2" t="n"/>
      <c r="D2" s="2" t="n"/>
    </row>
    <row r="4" ht="20" customHeight="1">
      <c r="B4" s="4" t="inlineStr">
        <is>
          <t>Exit Valuation</t>
        </is>
      </c>
      <c r="C4" s="5" t="n"/>
      <c r="D4" s="5" t="n"/>
    </row>
    <row r="5">
      <c r="B5" s="6" t="inlineStr">
        <is>
          <t>Exit Year EBITDA (INR Mn)</t>
        </is>
      </c>
      <c r="C5" s="23">
        <f>'Operating Model'!$H$9</f>
        <v/>
      </c>
    </row>
    <row r="6">
      <c r="B6" s="6" t="inlineStr">
        <is>
          <t>Exit EV / EBITDA</t>
        </is>
      </c>
      <c r="C6" s="33">
        <f>Assumptions!$C$47</f>
        <v/>
      </c>
    </row>
    <row r="7">
      <c r="B7" s="6" t="inlineStr">
        <is>
          <t>Exit Enterprise Value (INR Mn)</t>
        </is>
      </c>
      <c r="C7" s="11">
        <f>C5*C6</f>
        <v/>
      </c>
    </row>
    <row r="8">
      <c r="B8" s="6" t="inlineStr">
        <is>
          <t>(-) Net Debt at Exit (INR Mn)</t>
        </is>
      </c>
      <c r="C8" s="28">
        <f>-'Debt Schedule'!$H$18</f>
        <v/>
      </c>
    </row>
    <row r="9">
      <c r="B9" s="13" t="inlineStr">
        <is>
          <t>Exit Equity Value (INR Mn)</t>
        </is>
      </c>
      <c r="C9" s="14">
        <f>C7+C8</f>
        <v/>
      </c>
    </row>
    <row r="11" ht="20" customHeight="1">
      <c r="B11" s="4" t="inlineStr">
        <is>
          <t>Sponsor Returns</t>
        </is>
      </c>
      <c r="C11" s="5" t="n"/>
      <c r="D11" s="5" t="n"/>
    </row>
    <row r="12">
      <c r="B12" s="6" t="inlineStr">
        <is>
          <t>Entry Equity (INR Mn)</t>
        </is>
      </c>
      <c r="C12" s="23">
        <f>Assumptions!$C$24</f>
        <v/>
      </c>
    </row>
    <row r="13">
      <c r="B13" s="6" t="inlineStr">
        <is>
          <t>Exit Equity (INR Mn)</t>
        </is>
      </c>
      <c r="C13" s="11">
        <f>C9</f>
        <v/>
      </c>
    </row>
    <row r="14">
      <c r="B14" s="15" t="inlineStr">
        <is>
          <t>MOIC</t>
        </is>
      </c>
      <c r="C14" s="34">
        <f>IFERROR(C13/C12,"-")</f>
        <v/>
      </c>
    </row>
    <row r="15">
      <c r="B15" s="13" t="inlineStr">
        <is>
          <t>IRR</t>
        </is>
      </c>
      <c r="C15" s="35">
        <f>IFERROR(IF(C14&lt;=0,"-",C14^(1/Assumptions!$C$46)-1),"-")</f>
        <v/>
      </c>
    </row>
    <row r="17">
      <c r="B17" s="6" t="inlineStr">
        <is>
          <t>Entry Leverage (Debt / EBITDA)</t>
        </is>
      </c>
      <c r="C17" s="33">
        <f>IFERROR(Assumptions!$C$22/Assumptions!$C$7,"-")</f>
        <v/>
      </c>
    </row>
    <row r="18">
      <c r="B18" s="6" t="inlineStr">
        <is>
          <t>Exit Leverage (Debt / EBITDA)</t>
        </is>
      </c>
      <c r="C18" s="33">
        <f>'Debt Schedule'!$H$20</f>
        <v/>
      </c>
    </row>
  </sheetData>
  <mergeCells count="4">
    <mergeCell ref="B11:D11"/>
    <mergeCell ref="B1:D1"/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J19"/>
  <sheetViews>
    <sheetView showGridLines="0" workbookViewId="0">
      <pane xSplit="3" ySplit="5" topLeftCell="D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28" customHeight="1">
      <c r="B1" s="1" t="inlineStr">
        <is>
          <t>Sensitivity Analysis</t>
        </is>
      </c>
      <c r="C1" s="2" t="n"/>
      <c r="D1" s="2" t="n"/>
      <c r="E1" s="2" t="n"/>
      <c r="F1" s="2" t="n"/>
      <c r="G1" s="2" t="n"/>
      <c r="H1" s="2" t="n"/>
      <c r="I1" s="2" t="n"/>
      <c r="J1" s="2" t="n"/>
    </row>
    <row r="2" ht="22" customHeight="1">
      <c r="B2" s="3" t="inlineStr">
        <is>
          <t>Exit Multiple × EBITDA Margin</t>
        </is>
      </c>
      <c r="C2" s="2" t="n"/>
      <c r="D2" s="2" t="n"/>
      <c r="E2" s="2" t="n"/>
      <c r="F2" s="2" t="n"/>
      <c r="G2" s="2" t="n"/>
      <c r="H2" s="2" t="n"/>
      <c r="I2" s="2" t="n"/>
      <c r="J2" s="2" t="n"/>
    </row>
    <row r="4" ht="20" customHeight="1">
      <c r="B4" s="4" t="inlineStr">
        <is>
          <t>MOIC Sensitivity (x)</t>
        </is>
      </c>
      <c r="C4" s="5" t="n"/>
      <c r="D4" s="5" t="n"/>
      <c r="E4" s="5" t="n"/>
      <c r="F4" s="5" t="n"/>
      <c r="G4" s="5" t="n"/>
      <c r="H4" s="5" t="n"/>
      <c r="I4" s="5" t="n"/>
      <c r="J4" s="5" t="n"/>
    </row>
    <row r="6">
      <c r="B6" s="36" t="inlineStr">
        <is>
          <t>Exit Mult. →</t>
        </is>
      </c>
      <c r="C6" s="36" t="inlineStr">
        <is>
          <t>Margin ↓</t>
        </is>
      </c>
      <c r="D6" s="37">
        <f>Assumptions!$C$48+0*Assumptions!$C$50</f>
        <v/>
      </c>
      <c r="E6" s="37">
        <f>Assumptions!$C$48+1*Assumptions!$C$50</f>
        <v/>
      </c>
      <c r="F6" s="37">
        <f>Assumptions!$C$48+2*Assumptions!$C$50</f>
        <v/>
      </c>
      <c r="G6" s="37">
        <f>Assumptions!$C$48+3*Assumptions!$C$50</f>
        <v/>
      </c>
      <c r="H6" s="37">
        <f>Assumptions!$C$48+4*Assumptions!$C$50</f>
        <v/>
      </c>
      <c r="I6" s="37">
        <f>Assumptions!$C$48+5*Assumptions!$C$50</f>
        <v/>
      </c>
      <c r="J6" s="37">
        <f>Assumptions!$C$48+6*Assumptions!$C$50</f>
        <v/>
      </c>
    </row>
    <row r="7">
      <c r="C7" s="27">
        <f>Assumptions!$C$51+0*Assumptions!$C$53</f>
        <v/>
      </c>
      <c r="D7" s="33">
        <f>IFERROR((Assumptions!$C$28*(1+Assumptions!$C$29)*(1+Assumptions!$C$30)*(1+Assumptions!$C$31)*(1+Assumptions!$C$32)*(1+Assumptions!$C$33)*$C7*D$6-'Debt Schedule'!$H$18)/Assumptions!$C$24,"-")</f>
        <v/>
      </c>
      <c r="E7" s="33">
        <f>IFERROR((Assumptions!$C$28*(1+Assumptions!$C$29)*(1+Assumptions!$C$30)*(1+Assumptions!$C$31)*(1+Assumptions!$C$32)*(1+Assumptions!$C$33)*$C7*E$6-'Debt Schedule'!$H$18)/Assumptions!$C$24,"-")</f>
        <v/>
      </c>
      <c r="F7" s="33">
        <f>IFERROR((Assumptions!$C$28*(1+Assumptions!$C$29)*(1+Assumptions!$C$30)*(1+Assumptions!$C$31)*(1+Assumptions!$C$32)*(1+Assumptions!$C$33)*$C7*F$6-'Debt Schedule'!$H$18)/Assumptions!$C$24,"-")</f>
        <v/>
      </c>
      <c r="G7" s="33">
        <f>IFERROR((Assumptions!$C$28*(1+Assumptions!$C$29)*(1+Assumptions!$C$30)*(1+Assumptions!$C$31)*(1+Assumptions!$C$32)*(1+Assumptions!$C$33)*$C7*G$6-'Debt Schedule'!$H$18)/Assumptions!$C$24,"-")</f>
        <v/>
      </c>
      <c r="H7" s="33">
        <f>IFERROR((Assumptions!$C$28*(1+Assumptions!$C$29)*(1+Assumptions!$C$30)*(1+Assumptions!$C$31)*(1+Assumptions!$C$32)*(1+Assumptions!$C$33)*$C7*H$6-'Debt Schedule'!$H$18)/Assumptions!$C$24,"-")</f>
        <v/>
      </c>
      <c r="I7" s="33">
        <f>IFERROR((Assumptions!$C$28*(1+Assumptions!$C$29)*(1+Assumptions!$C$30)*(1+Assumptions!$C$31)*(1+Assumptions!$C$32)*(1+Assumptions!$C$33)*$C7*I$6-'Debt Schedule'!$H$18)/Assumptions!$C$24,"-")</f>
        <v/>
      </c>
      <c r="J7" s="33">
        <f>IFERROR((Assumptions!$C$28*(1+Assumptions!$C$29)*(1+Assumptions!$C$30)*(1+Assumptions!$C$31)*(1+Assumptions!$C$32)*(1+Assumptions!$C$33)*$C7*J$6-'Debt Schedule'!$H$18)/Assumptions!$C$24,"-")</f>
        <v/>
      </c>
    </row>
    <row r="8">
      <c r="B8" s="38" t="n"/>
      <c r="C8" s="39">
        <f>Assumptions!$C$51+1*Assumptions!$C$53</f>
        <v/>
      </c>
      <c r="D8" s="40">
        <f>IFERROR((Assumptions!$C$28*(1+Assumptions!$C$29)*(1+Assumptions!$C$30)*(1+Assumptions!$C$31)*(1+Assumptions!$C$32)*(1+Assumptions!$C$33)*$C8*D$6-'Debt Schedule'!$H$18)/Assumptions!$C$24,"-")</f>
        <v/>
      </c>
      <c r="E8" s="40">
        <f>IFERROR((Assumptions!$C$28*(1+Assumptions!$C$29)*(1+Assumptions!$C$30)*(1+Assumptions!$C$31)*(1+Assumptions!$C$32)*(1+Assumptions!$C$33)*$C8*E$6-'Debt Schedule'!$H$18)/Assumptions!$C$24,"-")</f>
        <v/>
      </c>
      <c r="F8" s="40">
        <f>IFERROR((Assumptions!$C$28*(1+Assumptions!$C$29)*(1+Assumptions!$C$30)*(1+Assumptions!$C$31)*(1+Assumptions!$C$32)*(1+Assumptions!$C$33)*$C8*F$6-'Debt Schedule'!$H$18)/Assumptions!$C$24,"-")</f>
        <v/>
      </c>
      <c r="G8" s="40">
        <f>IFERROR((Assumptions!$C$28*(1+Assumptions!$C$29)*(1+Assumptions!$C$30)*(1+Assumptions!$C$31)*(1+Assumptions!$C$32)*(1+Assumptions!$C$33)*$C8*G$6-'Debt Schedule'!$H$18)/Assumptions!$C$24,"-")</f>
        <v/>
      </c>
      <c r="H8" s="40">
        <f>IFERROR((Assumptions!$C$28*(1+Assumptions!$C$29)*(1+Assumptions!$C$30)*(1+Assumptions!$C$31)*(1+Assumptions!$C$32)*(1+Assumptions!$C$33)*$C8*H$6-'Debt Schedule'!$H$18)/Assumptions!$C$24,"-")</f>
        <v/>
      </c>
      <c r="I8" s="40">
        <f>IFERROR((Assumptions!$C$28*(1+Assumptions!$C$29)*(1+Assumptions!$C$30)*(1+Assumptions!$C$31)*(1+Assumptions!$C$32)*(1+Assumptions!$C$33)*$C8*I$6-'Debt Schedule'!$H$18)/Assumptions!$C$24,"-")</f>
        <v/>
      </c>
      <c r="J8" s="40">
        <f>IFERROR((Assumptions!$C$28*(1+Assumptions!$C$29)*(1+Assumptions!$C$30)*(1+Assumptions!$C$31)*(1+Assumptions!$C$32)*(1+Assumptions!$C$33)*$C8*J$6-'Debt Schedule'!$H$18)/Assumptions!$C$24,"-")</f>
        <v/>
      </c>
    </row>
    <row r="9">
      <c r="C9" s="27">
        <f>Assumptions!$C$51+2*Assumptions!$C$53</f>
        <v/>
      </c>
      <c r="D9" s="33">
        <f>IFERROR((Assumptions!$C$28*(1+Assumptions!$C$29)*(1+Assumptions!$C$30)*(1+Assumptions!$C$31)*(1+Assumptions!$C$32)*(1+Assumptions!$C$33)*$C9*D$6-'Debt Schedule'!$H$18)/Assumptions!$C$24,"-")</f>
        <v/>
      </c>
      <c r="E9" s="33">
        <f>IFERROR((Assumptions!$C$28*(1+Assumptions!$C$29)*(1+Assumptions!$C$30)*(1+Assumptions!$C$31)*(1+Assumptions!$C$32)*(1+Assumptions!$C$33)*$C9*E$6-'Debt Schedule'!$H$18)/Assumptions!$C$24,"-")</f>
        <v/>
      </c>
      <c r="F9" s="33">
        <f>IFERROR((Assumptions!$C$28*(1+Assumptions!$C$29)*(1+Assumptions!$C$30)*(1+Assumptions!$C$31)*(1+Assumptions!$C$32)*(1+Assumptions!$C$33)*$C9*F$6-'Debt Schedule'!$H$18)/Assumptions!$C$24,"-")</f>
        <v/>
      </c>
      <c r="G9" s="33">
        <f>IFERROR((Assumptions!$C$28*(1+Assumptions!$C$29)*(1+Assumptions!$C$30)*(1+Assumptions!$C$31)*(1+Assumptions!$C$32)*(1+Assumptions!$C$33)*$C9*G$6-'Debt Schedule'!$H$18)/Assumptions!$C$24,"-")</f>
        <v/>
      </c>
      <c r="H9" s="33">
        <f>IFERROR((Assumptions!$C$28*(1+Assumptions!$C$29)*(1+Assumptions!$C$30)*(1+Assumptions!$C$31)*(1+Assumptions!$C$32)*(1+Assumptions!$C$33)*$C9*H$6-'Debt Schedule'!$H$18)/Assumptions!$C$24,"-")</f>
        <v/>
      </c>
      <c r="I9" s="33">
        <f>IFERROR((Assumptions!$C$28*(1+Assumptions!$C$29)*(1+Assumptions!$C$30)*(1+Assumptions!$C$31)*(1+Assumptions!$C$32)*(1+Assumptions!$C$33)*$C9*I$6-'Debt Schedule'!$H$18)/Assumptions!$C$24,"-")</f>
        <v/>
      </c>
      <c r="J9" s="33">
        <f>IFERROR((Assumptions!$C$28*(1+Assumptions!$C$29)*(1+Assumptions!$C$30)*(1+Assumptions!$C$31)*(1+Assumptions!$C$32)*(1+Assumptions!$C$33)*$C9*J$6-'Debt Schedule'!$H$18)/Assumptions!$C$24,"-")</f>
        <v/>
      </c>
    </row>
    <row r="10">
      <c r="B10" s="38" t="n"/>
      <c r="C10" s="39">
        <f>Assumptions!$C$51+3*Assumptions!$C$53</f>
        <v/>
      </c>
      <c r="D10" s="40">
        <f>IFERROR((Assumptions!$C$28*(1+Assumptions!$C$29)*(1+Assumptions!$C$30)*(1+Assumptions!$C$31)*(1+Assumptions!$C$32)*(1+Assumptions!$C$33)*$C10*D$6-'Debt Schedule'!$H$18)/Assumptions!$C$24,"-")</f>
        <v/>
      </c>
      <c r="E10" s="40">
        <f>IFERROR((Assumptions!$C$28*(1+Assumptions!$C$29)*(1+Assumptions!$C$30)*(1+Assumptions!$C$31)*(1+Assumptions!$C$32)*(1+Assumptions!$C$33)*$C10*E$6-'Debt Schedule'!$H$18)/Assumptions!$C$24,"-")</f>
        <v/>
      </c>
      <c r="F10" s="40">
        <f>IFERROR((Assumptions!$C$28*(1+Assumptions!$C$29)*(1+Assumptions!$C$30)*(1+Assumptions!$C$31)*(1+Assumptions!$C$32)*(1+Assumptions!$C$33)*$C10*F$6-'Debt Schedule'!$H$18)/Assumptions!$C$24,"-")</f>
        <v/>
      </c>
      <c r="G10" s="40">
        <f>IFERROR((Assumptions!$C$28*(1+Assumptions!$C$29)*(1+Assumptions!$C$30)*(1+Assumptions!$C$31)*(1+Assumptions!$C$32)*(1+Assumptions!$C$33)*$C10*G$6-'Debt Schedule'!$H$18)/Assumptions!$C$24,"-")</f>
        <v/>
      </c>
      <c r="H10" s="40">
        <f>IFERROR((Assumptions!$C$28*(1+Assumptions!$C$29)*(1+Assumptions!$C$30)*(1+Assumptions!$C$31)*(1+Assumptions!$C$32)*(1+Assumptions!$C$33)*$C10*H$6-'Debt Schedule'!$H$18)/Assumptions!$C$24,"-")</f>
        <v/>
      </c>
      <c r="I10" s="40">
        <f>IFERROR((Assumptions!$C$28*(1+Assumptions!$C$29)*(1+Assumptions!$C$30)*(1+Assumptions!$C$31)*(1+Assumptions!$C$32)*(1+Assumptions!$C$33)*$C10*I$6-'Debt Schedule'!$H$18)/Assumptions!$C$24,"-")</f>
        <v/>
      </c>
      <c r="J10" s="40">
        <f>IFERROR((Assumptions!$C$28*(1+Assumptions!$C$29)*(1+Assumptions!$C$30)*(1+Assumptions!$C$31)*(1+Assumptions!$C$32)*(1+Assumptions!$C$33)*$C10*J$6-'Debt Schedule'!$H$18)/Assumptions!$C$24,"-")</f>
        <v/>
      </c>
    </row>
    <row r="11">
      <c r="C11" s="27">
        <f>Assumptions!$C$51+4*Assumptions!$C$53</f>
        <v/>
      </c>
      <c r="D11" s="33">
        <f>IFERROR((Assumptions!$C$28*(1+Assumptions!$C$29)*(1+Assumptions!$C$30)*(1+Assumptions!$C$31)*(1+Assumptions!$C$32)*(1+Assumptions!$C$33)*$C11*D$6-'Debt Schedule'!$H$18)/Assumptions!$C$24,"-")</f>
        <v/>
      </c>
      <c r="E11" s="33">
        <f>IFERROR((Assumptions!$C$28*(1+Assumptions!$C$29)*(1+Assumptions!$C$30)*(1+Assumptions!$C$31)*(1+Assumptions!$C$32)*(1+Assumptions!$C$33)*$C11*E$6-'Debt Schedule'!$H$18)/Assumptions!$C$24,"-")</f>
        <v/>
      </c>
      <c r="F11" s="33">
        <f>IFERROR((Assumptions!$C$28*(1+Assumptions!$C$29)*(1+Assumptions!$C$30)*(1+Assumptions!$C$31)*(1+Assumptions!$C$32)*(1+Assumptions!$C$33)*$C11*F$6-'Debt Schedule'!$H$18)/Assumptions!$C$24,"-")</f>
        <v/>
      </c>
      <c r="G11" s="33">
        <f>IFERROR((Assumptions!$C$28*(1+Assumptions!$C$29)*(1+Assumptions!$C$30)*(1+Assumptions!$C$31)*(1+Assumptions!$C$32)*(1+Assumptions!$C$33)*$C11*G$6-'Debt Schedule'!$H$18)/Assumptions!$C$24,"-")</f>
        <v/>
      </c>
      <c r="H11" s="33">
        <f>IFERROR((Assumptions!$C$28*(1+Assumptions!$C$29)*(1+Assumptions!$C$30)*(1+Assumptions!$C$31)*(1+Assumptions!$C$32)*(1+Assumptions!$C$33)*$C11*H$6-'Debt Schedule'!$H$18)/Assumptions!$C$24,"-")</f>
        <v/>
      </c>
      <c r="I11" s="33">
        <f>IFERROR((Assumptions!$C$28*(1+Assumptions!$C$29)*(1+Assumptions!$C$30)*(1+Assumptions!$C$31)*(1+Assumptions!$C$32)*(1+Assumptions!$C$33)*$C11*I$6-'Debt Schedule'!$H$18)/Assumptions!$C$24,"-")</f>
        <v/>
      </c>
      <c r="J11" s="33">
        <f>IFERROR((Assumptions!$C$28*(1+Assumptions!$C$29)*(1+Assumptions!$C$30)*(1+Assumptions!$C$31)*(1+Assumptions!$C$32)*(1+Assumptions!$C$33)*$C11*J$6-'Debt Schedule'!$H$18)/Assumptions!$C$24,"-")</f>
        <v/>
      </c>
    </row>
    <row r="13" ht="20" customHeight="1">
      <c r="B13" s="4" t="inlineStr">
        <is>
          <t>IRR Sensitivity (%)</t>
        </is>
      </c>
      <c r="C13" s="5" t="n"/>
      <c r="D13" s="5" t="n"/>
      <c r="E13" s="5" t="n"/>
      <c r="F13" s="5" t="n"/>
      <c r="G13" s="5" t="n"/>
      <c r="H13" s="5" t="n"/>
      <c r="I13" s="5" t="n"/>
      <c r="J13" s="5" t="n"/>
    </row>
    <row r="14">
      <c r="B14" s="36" t="inlineStr">
        <is>
          <t>Exit Mult. →</t>
        </is>
      </c>
      <c r="C14" s="36" t="inlineStr">
        <is>
          <t>Margin ↓</t>
        </is>
      </c>
      <c r="D14" s="37">
        <f>Assumptions!$C$48+0*Assumptions!$C$50</f>
        <v/>
      </c>
      <c r="E14" s="37">
        <f>Assumptions!$C$48+1*Assumptions!$C$50</f>
        <v/>
      </c>
      <c r="F14" s="37">
        <f>Assumptions!$C$48+2*Assumptions!$C$50</f>
        <v/>
      </c>
      <c r="G14" s="37">
        <f>Assumptions!$C$48+3*Assumptions!$C$50</f>
        <v/>
      </c>
      <c r="H14" s="37">
        <f>Assumptions!$C$48+4*Assumptions!$C$50</f>
        <v/>
      </c>
      <c r="I14" s="37">
        <f>Assumptions!$C$48+5*Assumptions!$C$50</f>
        <v/>
      </c>
      <c r="J14" s="37">
        <f>Assumptions!$C$48+6*Assumptions!$C$50</f>
        <v/>
      </c>
    </row>
    <row r="15">
      <c r="C15" s="27">
        <f>Assumptions!$C$51+0*Assumptions!$C$53</f>
        <v/>
      </c>
      <c r="D15" s="27">
        <f>IFERROR(IF(D7&lt;=0,"-",D7^(1/Assumptions!$C$46)-1),"-")</f>
        <v/>
      </c>
      <c r="E15" s="27">
        <f>IFERROR(IF(E7&lt;=0,"-",E7^(1/Assumptions!$C$46)-1),"-")</f>
        <v/>
      </c>
      <c r="F15" s="27">
        <f>IFERROR(IF(F7&lt;=0,"-",F7^(1/Assumptions!$C$46)-1),"-")</f>
        <v/>
      </c>
      <c r="G15" s="27">
        <f>IFERROR(IF(G7&lt;=0,"-",G7^(1/Assumptions!$C$46)-1),"-")</f>
        <v/>
      </c>
      <c r="H15" s="27">
        <f>IFERROR(IF(H7&lt;=0,"-",H7^(1/Assumptions!$C$46)-1),"-")</f>
        <v/>
      </c>
      <c r="I15" s="27">
        <f>IFERROR(IF(I7&lt;=0,"-",I7^(1/Assumptions!$C$46)-1),"-")</f>
        <v/>
      </c>
      <c r="J15" s="27">
        <f>IFERROR(IF(J7&lt;=0,"-",J7^(1/Assumptions!$C$46)-1),"-")</f>
        <v/>
      </c>
    </row>
    <row r="16">
      <c r="B16" s="38" t="n"/>
      <c r="C16" s="39">
        <f>Assumptions!$C$51+1*Assumptions!$C$53</f>
        <v/>
      </c>
      <c r="D16" s="39">
        <f>IFERROR(IF(D8&lt;=0,"-",D8^(1/Assumptions!$C$46)-1),"-")</f>
        <v/>
      </c>
      <c r="E16" s="39">
        <f>IFERROR(IF(E8&lt;=0,"-",E8^(1/Assumptions!$C$46)-1),"-")</f>
        <v/>
      </c>
      <c r="F16" s="39">
        <f>IFERROR(IF(F8&lt;=0,"-",F8^(1/Assumptions!$C$46)-1),"-")</f>
        <v/>
      </c>
      <c r="G16" s="39">
        <f>IFERROR(IF(G8&lt;=0,"-",G8^(1/Assumptions!$C$46)-1),"-")</f>
        <v/>
      </c>
      <c r="H16" s="39">
        <f>IFERROR(IF(H8&lt;=0,"-",H8^(1/Assumptions!$C$46)-1),"-")</f>
        <v/>
      </c>
      <c r="I16" s="39">
        <f>IFERROR(IF(I8&lt;=0,"-",I8^(1/Assumptions!$C$46)-1),"-")</f>
        <v/>
      </c>
      <c r="J16" s="39">
        <f>IFERROR(IF(J8&lt;=0,"-",J8^(1/Assumptions!$C$46)-1),"-")</f>
        <v/>
      </c>
    </row>
    <row r="17">
      <c r="C17" s="27">
        <f>Assumptions!$C$51+2*Assumptions!$C$53</f>
        <v/>
      </c>
      <c r="D17" s="27">
        <f>IFERROR(IF(D9&lt;=0,"-",D9^(1/Assumptions!$C$46)-1),"-")</f>
        <v/>
      </c>
      <c r="E17" s="27">
        <f>IFERROR(IF(E9&lt;=0,"-",E9^(1/Assumptions!$C$46)-1),"-")</f>
        <v/>
      </c>
      <c r="F17" s="27">
        <f>IFERROR(IF(F9&lt;=0,"-",F9^(1/Assumptions!$C$46)-1),"-")</f>
        <v/>
      </c>
      <c r="G17" s="27">
        <f>IFERROR(IF(G9&lt;=0,"-",G9^(1/Assumptions!$C$46)-1),"-")</f>
        <v/>
      </c>
      <c r="H17" s="27">
        <f>IFERROR(IF(H9&lt;=0,"-",H9^(1/Assumptions!$C$46)-1),"-")</f>
        <v/>
      </c>
      <c r="I17" s="27">
        <f>IFERROR(IF(I9&lt;=0,"-",I9^(1/Assumptions!$C$46)-1),"-")</f>
        <v/>
      </c>
      <c r="J17" s="27">
        <f>IFERROR(IF(J9&lt;=0,"-",J9^(1/Assumptions!$C$46)-1),"-")</f>
        <v/>
      </c>
    </row>
    <row r="18">
      <c r="B18" s="38" t="n"/>
      <c r="C18" s="39">
        <f>Assumptions!$C$51+3*Assumptions!$C$53</f>
        <v/>
      </c>
      <c r="D18" s="39">
        <f>IFERROR(IF(D10&lt;=0,"-",D10^(1/Assumptions!$C$46)-1),"-")</f>
        <v/>
      </c>
      <c r="E18" s="39">
        <f>IFERROR(IF(E10&lt;=0,"-",E10^(1/Assumptions!$C$46)-1),"-")</f>
        <v/>
      </c>
      <c r="F18" s="39">
        <f>IFERROR(IF(F10&lt;=0,"-",F10^(1/Assumptions!$C$46)-1),"-")</f>
        <v/>
      </c>
      <c r="G18" s="39">
        <f>IFERROR(IF(G10&lt;=0,"-",G10^(1/Assumptions!$C$46)-1),"-")</f>
        <v/>
      </c>
      <c r="H18" s="39">
        <f>IFERROR(IF(H10&lt;=0,"-",H10^(1/Assumptions!$C$46)-1),"-")</f>
        <v/>
      </c>
      <c r="I18" s="39">
        <f>IFERROR(IF(I10&lt;=0,"-",I10^(1/Assumptions!$C$46)-1),"-")</f>
        <v/>
      </c>
      <c r="J18" s="39">
        <f>IFERROR(IF(J10&lt;=0,"-",J10^(1/Assumptions!$C$46)-1),"-")</f>
        <v/>
      </c>
    </row>
    <row r="19">
      <c r="C19" s="27">
        <f>Assumptions!$C$51+4*Assumptions!$C$53</f>
        <v/>
      </c>
      <c r="D19" s="27">
        <f>IFERROR(IF(D11&lt;=0,"-",D11^(1/Assumptions!$C$46)-1),"-")</f>
        <v/>
      </c>
      <c r="E19" s="27">
        <f>IFERROR(IF(E11&lt;=0,"-",E11^(1/Assumptions!$C$46)-1),"-")</f>
        <v/>
      </c>
      <c r="F19" s="27">
        <f>IFERROR(IF(F11&lt;=0,"-",F11^(1/Assumptions!$C$46)-1),"-")</f>
        <v/>
      </c>
      <c r="G19" s="27">
        <f>IFERROR(IF(G11&lt;=0,"-",G11^(1/Assumptions!$C$46)-1),"-")</f>
        <v/>
      </c>
      <c r="H19" s="27">
        <f>IFERROR(IF(H11&lt;=0,"-",H11^(1/Assumptions!$C$46)-1),"-")</f>
        <v/>
      </c>
      <c r="I19" s="27">
        <f>IFERROR(IF(I11&lt;=0,"-",I11^(1/Assumptions!$C$46)-1),"-")</f>
        <v/>
      </c>
      <c r="J19" s="27">
        <f>IFERROR(IF(J11&lt;=0,"-",J11^(1/Assumptions!$C$46)-1),"-")</f>
        <v/>
      </c>
    </row>
  </sheetData>
  <mergeCells count="4">
    <mergeCell ref="B4:J4"/>
    <mergeCell ref="B13:J13"/>
    <mergeCell ref="B1:J1"/>
    <mergeCell ref="B2:J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2026-04-29T12:30:06Z</dcterms:created>
  <dcterms:modified xsi:type="dcterms:W3CDTF">2026-04-29T12:30:06Z</dcterms:modified>
</cp:coreProperties>
</file>